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\Documents\Lecture_Notes_Oct_06_2017\Fast Track MBA\Business Analysis Project\Lecture Slides\"/>
    </mc:Choice>
  </mc:AlternateContent>
  <bookViews>
    <workbookView xWindow="0" yWindow="0" windowWidth="15360" windowHeight="7665" activeTab="1"/>
  </bookViews>
  <sheets>
    <sheet name="Model 3 years" sheetId="3" r:id="rId1"/>
    <sheet name="CBA" sheetId="1" r:id="rId2"/>
    <sheet name="CBA Dashboard" sheetId="2" r:id="rId3"/>
  </sheets>
  <externalReferences>
    <externalReference r:id="rId4"/>
  </externalReferences>
  <definedNames>
    <definedName name="Change_fixed_costs">[1]Modelling!#REF!</definedName>
    <definedName name="Change_sales">[1]Modelling!#REF!</definedName>
    <definedName name="Change_variable_costs">[1]Modelling!#REF!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3" l="1"/>
  <c r="F57" i="3"/>
  <c r="E57" i="3"/>
  <c r="D57" i="3"/>
  <c r="E9" i="1"/>
  <c r="D9" i="1"/>
  <c r="C9" i="1"/>
  <c r="E7" i="1"/>
  <c r="D7" i="1"/>
  <c r="C7" i="1"/>
  <c r="H50" i="3"/>
  <c r="F50" i="3"/>
  <c r="D50" i="3"/>
  <c r="I49" i="3"/>
  <c r="I51" i="3" s="1"/>
  <c r="H47" i="3"/>
  <c r="F47" i="3"/>
  <c r="D47" i="3"/>
  <c r="H46" i="3"/>
  <c r="F46" i="3"/>
  <c r="D46" i="3"/>
  <c r="H45" i="3"/>
  <c r="F45" i="3"/>
  <c r="D45" i="3"/>
  <c r="H40" i="3"/>
  <c r="F40" i="3"/>
  <c r="D40" i="3"/>
  <c r="H39" i="3"/>
  <c r="F39" i="3"/>
  <c r="D39" i="3"/>
  <c r="H38" i="3"/>
  <c r="F38" i="3"/>
  <c r="D38" i="3"/>
  <c r="I36" i="3"/>
  <c r="H35" i="3"/>
  <c r="F35" i="3"/>
  <c r="D35" i="3"/>
  <c r="I33" i="3"/>
  <c r="H31" i="3"/>
  <c r="F31" i="3"/>
  <c r="D31" i="3"/>
  <c r="H30" i="3"/>
  <c r="F30" i="3"/>
  <c r="D30" i="3"/>
  <c r="I29" i="3"/>
  <c r="I37" i="3" s="1"/>
  <c r="I41" i="3" s="1"/>
  <c r="G29" i="3"/>
  <c r="H29" i="3" s="1"/>
  <c r="F29" i="3"/>
  <c r="E29" i="3"/>
  <c r="C29" i="3"/>
  <c r="D29" i="3" s="1"/>
  <c r="H28" i="3"/>
  <c r="F28" i="3"/>
  <c r="D28" i="3"/>
  <c r="H27" i="3"/>
  <c r="F27" i="3"/>
  <c r="D27" i="3"/>
  <c r="I12" i="3"/>
  <c r="I14" i="3" s="1"/>
  <c r="I17" i="3" s="1"/>
  <c r="G11" i="3"/>
  <c r="E11" i="3"/>
  <c r="C11" i="3" s="1"/>
  <c r="G10" i="3"/>
  <c r="G12" i="3" s="1"/>
  <c r="H12" i="3" l="1"/>
  <c r="E56" i="3"/>
  <c r="G14" i="3"/>
  <c r="I19" i="3"/>
  <c r="I21" i="3" s="1"/>
  <c r="I23" i="3" s="1"/>
  <c r="E10" i="3"/>
  <c r="D56" i="3"/>
  <c r="E12" i="3" l="1"/>
  <c r="C10" i="3"/>
  <c r="C12" i="3" s="1"/>
  <c r="G17" i="3"/>
  <c r="H14" i="3"/>
  <c r="C10" i="1"/>
  <c r="G18" i="3" l="1"/>
  <c r="G19" i="3" s="1"/>
  <c r="H17" i="3"/>
  <c r="G56" i="3"/>
  <c r="D12" i="3"/>
  <c r="C14" i="3"/>
  <c r="E14" i="3"/>
  <c r="F56" i="3"/>
  <c r="F12" i="3"/>
  <c r="D10" i="1"/>
  <c r="E10" i="1" s="1"/>
  <c r="B8" i="1"/>
  <c r="B11" i="1"/>
  <c r="B12" i="1" s="1"/>
  <c r="D11" i="1"/>
  <c r="E11" i="1"/>
  <c r="H19" i="3" l="1"/>
  <c r="G21" i="3"/>
  <c r="E17" i="3"/>
  <c r="F14" i="3"/>
  <c r="D14" i="3"/>
  <c r="C17" i="3"/>
  <c r="B14" i="1"/>
  <c r="E14" i="1"/>
  <c r="E16" i="1" s="1"/>
  <c r="D14" i="1"/>
  <c r="D16" i="1" s="1"/>
  <c r="F17" i="3" l="1"/>
  <c r="E18" i="3"/>
  <c r="E19" i="3"/>
  <c r="H21" i="3"/>
  <c r="G23" i="3"/>
  <c r="C18" i="3"/>
  <c r="C19" i="3" s="1"/>
  <c r="D17" i="3"/>
  <c r="C11" i="1"/>
  <c r="C12" i="1" s="1"/>
  <c r="D12" i="1" s="1"/>
  <c r="E12" i="1" s="1"/>
  <c r="C8" i="1"/>
  <c r="D8" i="1" s="1"/>
  <c r="E8" i="1" s="1"/>
  <c r="D19" i="3" l="1"/>
  <c r="C21" i="3"/>
  <c r="E21" i="3"/>
  <c r="F19" i="3"/>
  <c r="G32" i="3"/>
  <c r="G48" i="3"/>
  <c r="H23" i="3"/>
  <c r="C14" i="1"/>
  <c r="E23" i="3" l="1"/>
  <c r="F21" i="3"/>
  <c r="D21" i="3"/>
  <c r="C23" i="3"/>
  <c r="G49" i="3"/>
  <c r="H48" i="3"/>
  <c r="H32" i="3"/>
  <c r="G33" i="3"/>
  <c r="B15" i="1"/>
  <c r="F16" i="1"/>
  <c r="C16" i="1"/>
  <c r="G36" i="3" l="1"/>
  <c r="H33" i="3"/>
  <c r="D23" i="3"/>
  <c r="H49" i="3"/>
  <c r="G51" i="3"/>
  <c r="E48" i="3"/>
  <c r="F23" i="3"/>
  <c r="E32" i="3"/>
  <c r="C32" i="3" s="1"/>
  <c r="D32" i="3" l="1"/>
  <c r="C33" i="3"/>
  <c r="F48" i="3"/>
  <c r="E49" i="3"/>
  <c r="C48" i="3"/>
  <c r="H51" i="3"/>
  <c r="E33" i="3"/>
  <c r="F32" i="3"/>
  <c r="H36" i="3"/>
  <c r="G37" i="3"/>
  <c r="E51" i="3" l="1"/>
  <c r="F49" i="3"/>
  <c r="H37" i="3"/>
  <c r="G41" i="3"/>
  <c r="H41" i="3" s="1"/>
  <c r="C36" i="3"/>
  <c r="D33" i="3"/>
  <c r="F33" i="3"/>
  <c r="E36" i="3"/>
  <c r="C49" i="3"/>
  <c r="D48" i="3"/>
  <c r="F36" i="3" l="1"/>
  <c r="E37" i="3"/>
  <c r="D49" i="3"/>
  <c r="C51" i="3"/>
  <c r="D36" i="3"/>
  <c r="C37" i="3"/>
  <c r="F51" i="3"/>
  <c r="D51" i="3" l="1"/>
  <c r="D37" i="3"/>
  <c r="C41" i="3"/>
  <c r="D41" i="3" s="1"/>
  <c r="E41" i="3"/>
  <c r="F41" i="3" s="1"/>
  <c r="F37" i="3"/>
</calcChain>
</file>

<file path=xl/comments1.xml><?xml version="1.0" encoding="utf-8"?>
<comments xmlns="http://schemas.openxmlformats.org/spreadsheetml/2006/main">
  <authors>
    <author>Andre Samuel</author>
  </authors>
  <commentList>
    <comment ref="B7" authorId="0" shapeId="0">
      <text>
        <r>
          <rPr>
            <b/>
            <sz val="9"/>
            <color indexed="81"/>
            <rFont val="Tahoma"/>
            <charset val="1"/>
          </rPr>
          <t>Andre Samuel:</t>
        </r>
        <r>
          <rPr>
            <sz val="9"/>
            <color indexed="81"/>
            <rFont val="Tahoma"/>
            <charset val="1"/>
          </rPr>
          <t xml:space="preserve">
Cost in Year 0 is referred to as your Capital Expenditure or Capital Investment/Outlay to implement the strategy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Andre Samuel:</t>
        </r>
        <r>
          <rPr>
            <sz val="9"/>
            <color indexed="81"/>
            <rFont val="Tahoma"/>
            <charset val="1"/>
          </rPr>
          <t xml:space="preserve">
Calculate using Cost of Goods Sold (COGS) from 3 yr Modelling Spreadsheet.
It is the vlaue of the % increase or Difference between Next Yr and Last Yr COGS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Andre Samuel:</t>
        </r>
        <r>
          <rPr>
            <sz val="9"/>
            <color indexed="81"/>
            <rFont val="Tahoma"/>
            <charset val="1"/>
          </rPr>
          <t xml:space="preserve">
Calulate using Sales from 3 year Modelling Spreadsheet. It is value of the % increase or difference between next yr and last yr Sales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Andre Samuel:</t>
        </r>
        <r>
          <rPr>
            <sz val="9"/>
            <color indexed="81"/>
            <rFont val="Tahoma"/>
            <family val="2"/>
          </rPr>
          <t xml:space="preserve">
Net Benefit= Benefit-Cost
calculate for each year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Andre Samuel:</t>
        </r>
        <r>
          <rPr>
            <sz val="9"/>
            <color indexed="81"/>
            <rFont val="Tahoma"/>
            <family val="2"/>
          </rPr>
          <t xml:space="preserve">
Present Value= Net Benefit * Discount Factor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Andre Samuel:</t>
        </r>
        <r>
          <rPr>
            <sz val="9"/>
            <color indexed="81"/>
            <rFont val="Tahoma"/>
            <family val="2"/>
          </rPr>
          <t xml:space="preserve">
NPV = sum of Present Values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Andre Samuel:</t>
        </r>
        <r>
          <rPr>
            <sz val="9"/>
            <color indexed="81"/>
            <rFont val="Tahoma"/>
            <charset val="1"/>
          </rPr>
          <t xml:space="preserve">
ROI y-on-y= net benefit(discounted)/Capital investment as a percentage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Andre Samuel:</t>
        </r>
        <r>
          <rPr>
            <sz val="9"/>
            <color indexed="81"/>
            <rFont val="Tahoma"/>
            <charset val="1"/>
          </rPr>
          <t xml:space="preserve">
This is the Total ROI after 3 yrs.
ROI= Sum of Discounted Benefits/Capital Investment as a percentage</t>
        </r>
      </text>
    </comment>
  </commentList>
</comments>
</file>

<file path=xl/sharedStrings.xml><?xml version="1.0" encoding="utf-8"?>
<sst xmlns="http://schemas.openxmlformats.org/spreadsheetml/2006/main" count="95" uniqueCount="75">
  <si>
    <t>Year 0</t>
  </si>
  <si>
    <t>Year 1</t>
  </si>
  <si>
    <t>Year 2</t>
  </si>
  <si>
    <t>Year 3</t>
  </si>
  <si>
    <t>COST</t>
  </si>
  <si>
    <t>BENEFITS</t>
  </si>
  <si>
    <t>Net Present Value</t>
  </si>
  <si>
    <t>Cumulative Cost</t>
  </si>
  <si>
    <t>Cumulative Benefits</t>
  </si>
  <si>
    <t>Cost Benefit Analysis</t>
  </si>
  <si>
    <t>Discounted Cash Flow</t>
  </si>
  <si>
    <t>Cumulative Net Benefits</t>
  </si>
  <si>
    <t>Net Benefits/Cash Flow</t>
  </si>
  <si>
    <t>Present Value/Discounted Cash Flow</t>
  </si>
  <si>
    <t>Change Particulars and figures accordingly</t>
  </si>
  <si>
    <t>Capital Investment</t>
  </si>
  <si>
    <t>Discount Factor @5%</t>
  </si>
  <si>
    <t>ROI</t>
  </si>
  <si>
    <t>Make changes to entries in the modelling area and examine the results.</t>
  </si>
  <si>
    <t xml:space="preserve">B </t>
  </si>
  <si>
    <t>C</t>
  </si>
  <si>
    <t>D</t>
  </si>
  <si>
    <t>F</t>
  </si>
  <si>
    <t>Modelling area</t>
  </si>
  <si>
    <t>Published data</t>
  </si>
  <si>
    <t>PROFIT &amp; LOSS ACCOUNT</t>
  </si>
  <si>
    <t>Projected % Change</t>
  </si>
  <si>
    <t xml:space="preserve"> </t>
  </si>
  <si>
    <t xml:space="preserve">Sales </t>
  </si>
  <si>
    <t>Cost of Sales</t>
  </si>
  <si>
    <t>Operating Profit</t>
  </si>
  <si>
    <t>Exceptional items</t>
  </si>
  <si>
    <t>Total operating profit</t>
  </si>
  <si>
    <t>Sale of fixed assets</t>
  </si>
  <si>
    <t>Net interest income</t>
  </si>
  <si>
    <t>Profit on ord activities before tax</t>
  </si>
  <si>
    <t>Tax (@30%) on ord activities</t>
  </si>
  <si>
    <t>Profit on ord activities after tax</t>
  </si>
  <si>
    <t>Minority interests (all equity)</t>
  </si>
  <si>
    <t>Profit attributable to shareholders</t>
  </si>
  <si>
    <t>Dividends paid to shareholders</t>
  </si>
  <si>
    <t>Retained profit</t>
  </si>
  <si>
    <t>Balance Sheet</t>
  </si>
  <si>
    <t>At 31 Mar 2016</t>
  </si>
  <si>
    <t>Fixed Assets</t>
  </si>
  <si>
    <t>Tangible assets</t>
  </si>
  <si>
    <t>Investments</t>
  </si>
  <si>
    <t>Stocks</t>
  </si>
  <si>
    <t>Debtors</t>
  </si>
  <si>
    <t>Cash &amp; investments</t>
  </si>
  <si>
    <t>Current assets</t>
  </si>
  <si>
    <t>Current liabilities:</t>
  </si>
  <si>
    <t>Creditors due within one year</t>
  </si>
  <si>
    <t>Net current assets</t>
  </si>
  <si>
    <t>Total assets less current liabilities</t>
  </si>
  <si>
    <t>Creditors due after one year</t>
  </si>
  <si>
    <t>Provisions for liabilities &amp; charges</t>
  </si>
  <si>
    <t>Deferred taxation</t>
  </si>
  <si>
    <t>Net assets</t>
  </si>
  <si>
    <t>Liabilities - Capital and Reserves</t>
  </si>
  <si>
    <t>Called up share capital</t>
  </si>
  <si>
    <t>Share premium account</t>
  </si>
  <si>
    <t>Revaluation reserve</t>
  </si>
  <si>
    <t>Profit &amp; Loss account</t>
  </si>
  <si>
    <t>Shareholders equity</t>
  </si>
  <si>
    <t>Minority interests equity</t>
  </si>
  <si>
    <t>Total Capital and Reserves</t>
  </si>
  <si>
    <t>Profit margin = op profit / sales</t>
  </si>
  <si>
    <t>ROCE = PBIT / Capital employed</t>
  </si>
  <si>
    <t>Operation/Ongoing</t>
  </si>
  <si>
    <t>New Ratios for 3 year Forecast</t>
  </si>
  <si>
    <t>Next yr 1 2017</t>
  </si>
  <si>
    <t>Next yr 2 2018</t>
  </si>
  <si>
    <t>Next yr 3 2019</t>
  </si>
  <si>
    <t>Last Year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</si>
</sst>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"/>
    <numFmt numFmtId="165" formatCode="_-&quot;£&quot;* #,##0.00_-;\-&quot;£&quot;* #,##0.00_-;_-&quot;£&quot;* &quot;-&quot;??_-;_-@_-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</font>
    <font>
      <i/>
      <sz val="10"/>
      <name val="Arial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b/>
      <i/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4"/>
      <name val="Arial"/>
      <family val="2"/>
    </font>
    <font>
      <b/>
      <i/>
      <sz val="10"/>
      <color indexed="50"/>
      <name val="Arial"/>
      <family val="2"/>
    </font>
    <font>
      <i/>
      <sz val="10"/>
      <color indexed="1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5" fillId="0" borderId="0" xfId="0" applyFont="1"/>
    <xf numFmtId="9" fontId="0" fillId="0" borderId="0" xfId="0" applyNumberFormat="1"/>
    <xf numFmtId="49" fontId="0" fillId="0" borderId="0" xfId="1" applyNumberFormat="1" applyFont="1"/>
    <xf numFmtId="9" fontId="0" fillId="0" borderId="0" xfId="2" applyFont="1"/>
    <xf numFmtId="1" fontId="2" fillId="0" borderId="0" xfId="0" applyNumberFormat="1" applyFont="1"/>
    <xf numFmtId="0" fontId="6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Fill="1"/>
    <xf numFmtId="164" fontId="0" fillId="0" borderId="0" xfId="0" applyNumberFormat="1"/>
    <xf numFmtId="1" fontId="2" fillId="0" borderId="0" xfId="0" applyNumberFormat="1" applyFont="1" applyFill="1"/>
    <xf numFmtId="1" fontId="5" fillId="0" borderId="0" xfId="0" applyNumberFormat="1" applyFont="1"/>
    <xf numFmtId="1" fontId="2" fillId="2" borderId="0" xfId="0" applyNumberFormat="1" applyFont="1" applyFill="1"/>
    <xf numFmtId="9" fontId="2" fillId="2" borderId="0" xfId="2" applyFont="1" applyFill="1"/>
    <xf numFmtId="0" fontId="8" fillId="0" borderId="0" xfId="3" applyFont="1"/>
    <xf numFmtId="9" fontId="9" fillId="0" borderId="0" xfId="3" applyNumberFormat="1" applyFont="1"/>
    <xf numFmtId="0" fontId="9" fillId="0" borderId="0" xfId="3" applyFont="1"/>
    <xf numFmtId="165" fontId="9" fillId="0" borderId="0" xfId="4" applyNumberFormat="1" applyFont="1" applyAlignment="1">
      <alignment horizontal="left"/>
    </xf>
    <xf numFmtId="0" fontId="7" fillId="0" borderId="0" xfId="3"/>
    <xf numFmtId="165" fontId="0" fillId="0" borderId="0" xfId="4" applyNumberFormat="1" applyFont="1" applyAlignment="1">
      <alignment horizontal="left"/>
    </xf>
    <xf numFmtId="0" fontId="10" fillId="0" borderId="0" xfId="3" applyFont="1"/>
    <xf numFmtId="165" fontId="10" fillId="0" borderId="0" xfId="4" applyNumberFormat="1" applyFont="1" applyAlignment="1">
      <alignment horizontal="left"/>
    </xf>
    <xf numFmtId="0" fontId="11" fillId="0" borderId="1" xfId="3" applyFont="1" applyBorder="1"/>
    <xf numFmtId="165" fontId="11" fillId="0" borderId="1" xfId="4" applyNumberFormat="1" applyFont="1" applyBorder="1" applyAlignment="1">
      <alignment horizontal="left"/>
    </xf>
    <xf numFmtId="0" fontId="11" fillId="0" borderId="0" xfId="3" applyFont="1"/>
    <xf numFmtId="0" fontId="7" fillId="0" borderId="1" xfId="3" applyBorder="1"/>
    <xf numFmtId="0" fontId="9" fillId="0" borderId="1" xfId="3" applyFont="1" applyBorder="1"/>
    <xf numFmtId="165" fontId="9" fillId="0" borderId="1" xfId="4" applyNumberFormat="1" applyFont="1" applyBorder="1" applyAlignment="1">
      <alignment horizontal="right" wrapText="1"/>
    </xf>
    <xf numFmtId="0" fontId="8" fillId="0" borderId="2" xfId="3" applyFont="1" applyBorder="1"/>
    <xf numFmtId="0" fontId="12" fillId="0" borderId="1" xfId="3" applyFont="1" applyBorder="1"/>
    <xf numFmtId="165" fontId="0" fillId="0" borderId="1" xfId="4" applyNumberFormat="1" applyFont="1" applyBorder="1" applyAlignment="1">
      <alignment horizontal="left"/>
    </xf>
    <xf numFmtId="0" fontId="13" fillId="0" borderId="2" xfId="3" applyFont="1" applyBorder="1"/>
    <xf numFmtId="0" fontId="14" fillId="0" borderId="1" xfId="3" applyFont="1" applyBorder="1"/>
    <xf numFmtId="0" fontId="15" fillId="0" borderId="1" xfId="3" applyFont="1" applyBorder="1" applyAlignment="1">
      <alignment wrapText="1"/>
    </xf>
    <xf numFmtId="0" fontId="14" fillId="0" borderId="0" xfId="3" applyFont="1"/>
    <xf numFmtId="0" fontId="7" fillId="0" borderId="3" xfId="3" applyBorder="1"/>
    <xf numFmtId="165" fontId="0" fillId="0" borderId="2" xfId="4" applyFont="1" applyBorder="1"/>
    <xf numFmtId="166" fontId="16" fillId="3" borderId="4" xfId="5" applyNumberFormat="1" applyFont="1" applyFill="1" applyBorder="1"/>
    <xf numFmtId="0" fontId="17" fillId="0" borderId="2" xfId="3" applyFont="1" applyBorder="1"/>
    <xf numFmtId="0" fontId="18" fillId="0" borderId="1" xfId="3" applyFont="1" applyBorder="1"/>
    <xf numFmtId="165" fontId="18" fillId="0" borderId="3" xfId="4" applyFont="1" applyBorder="1" applyAlignment="1">
      <alignment horizontal="left"/>
    </xf>
    <xf numFmtId="166" fontId="17" fillId="0" borderId="5" xfId="5" applyNumberFormat="1" applyFont="1" applyBorder="1"/>
    <xf numFmtId="165" fontId="18" fillId="0" borderId="1" xfId="4" applyNumberFormat="1" applyFont="1" applyBorder="1" applyAlignment="1">
      <alignment horizontal="left"/>
    </xf>
    <xf numFmtId="0" fontId="18" fillId="0" borderId="6" xfId="3" applyFont="1" applyBorder="1"/>
    <xf numFmtId="0" fontId="7" fillId="0" borderId="2" xfId="3" applyBorder="1"/>
    <xf numFmtId="165" fontId="16" fillId="3" borderId="4" xfId="4" applyFont="1" applyFill="1" applyBorder="1"/>
    <xf numFmtId="166" fontId="0" fillId="0" borderId="7" xfId="5" applyNumberFormat="1" applyFont="1" applyBorder="1"/>
    <xf numFmtId="0" fontId="17" fillId="0" borderId="1" xfId="3" applyFont="1" applyBorder="1"/>
    <xf numFmtId="165" fontId="17" fillId="0" borderId="8" xfId="4" applyFont="1" applyBorder="1" applyAlignment="1">
      <alignment horizontal="left"/>
    </xf>
    <xf numFmtId="166" fontId="17" fillId="0" borderId="1" xfId="5" applyNumberFormat="1" applyFont="1" applyBorder="1"/>
    <xf numFmtId="165" fontId="17" fillId="0" borderId="1" xfId="4" applyNumberFormat="1" applyFont="1" applyBorder="1" applyAlignment="1">
      <alignment horizontal="left"/>
    </xf>
    <xf numFmtId="0" fontId="17" fillId="0" borderId="0" xfId="3" applyFont="1"/>
    <xf numFmtId="165" fontId="0" fillId="3" borderId="4" xfId="4" applyFont="1" applyFill="1" applyBorder="1"/>
    <xf numFmtId="165" fontId="17" fillId="0" borderId="5" xfId="4" applyFont="1" applyBorder="1" applyAlignment="1">
      <alignment horizontal="left"/>
    </xf>
    <xf numFmtId="165" fontId="19" fillId="0" borderId="1" xfId="4" applyFont="1" applyBorder="1"/>
    <xf numFmtId="166" fontId="0" fillId="0" borderId="1" xfId="5" applyNumberFormat="1" applyFont="1" applyBorder="1"/>
    <xf numFmtId="165" fontId="17" fillId="0" borderId="3" xfId="4" applyFont="1" applyBorder="1" applyAlignment="1">
      <alignment horizontal="left"/>
    </xf>
    <xf numFmtId="166" fontId="17" fillId="0" borderId="3" xfId="5" applyNumberFormat="1" applyFont="1" applyBorder="1"/>
    <xf numFmtId="166" fontId="10" fillId="3" borderId="4" xfId="5" applyNumberFormat="1" applyFont="1" applyFill="1" applyBorder="1"/>
    <xf numFmtId="0" fontId="18" fillId="0" borderId="2" xfId="3" applyFont="1" applyBorder="1"/>
    <xf numFmtId="0" fontId="20" fillId="0" borderId="1" xfId="3" applyFont="1" applyBorder="1"/>
    <xf numFmtId="165" fontId="20" fillId="0" borderId="1" xfId="4" applyFont="1" applyBorder="1" applyAlignment="1">
      <alignment horizontal="left"/>
    </xf>
    <xf numFmtId="166" fontId="20" fillId="0" borderId="5" xfId="5" applyNumberFormat="1" applyFont="1" applyBorder="1"/>
    <xf numFmtId="165" fontId="20" fillId="0" borderId="1" xfId="4" applyNumberFormat="1" applyFont="1" applyBorder="1" applyAlignment="1">
      <alignment horizontal="left"/>
    </xf>
    <xf numFmtId="0" fontId="21" fillId="0" borderId="0" xfId="3" applyFont="1"/>
    <xf numFmtId="165" fontId="0" fillId="0" borderId="1" xfId="4" applyFont="1" applyBorder="1"/>
    <xf numFmtId="165" fontId="14" fillId="0" borderId="1" xfId="4" applyFont="1" applyBorder="1"/>
    <xf numFmtId="165" fontId="15" fillId="0" borderId="1" xfId="4" applyNumberFormat="1" applyFont="1" applyBorder="1" applyAlignment="1">
      <alignment horizontal="left"/>
    </xf>
    <xf numFmtId="165" fontId="0" fillId="0" borderId="1" xfId="4" applyFont="1" applyBorder="1" applyAlignment="1">
      <alignment horizontal="left"/>
    </xf>
    <xf numFmtId="165" fontId="17" fillId="0" borderId="1" xfId="4" applyFont="1" applyBorder="1" applyAlignment="1">
      <alignment horizontal="left"/>
    </xf>
    <xf numFmtId="0" fontId="22" fillId="0" borderId="1" xfId="3" applyFont="1" applyBorder="1"/>
    <xf numFmtId="165" fontId="22" fillId="0" borderId="1" xfId="4" applyFont="1" applyBorder="1" applyAlignment="1">
      <alignment horizontal="left"/>
    </xf>
    <xf numFmtId="0" fontId="10" fillId="0" borderId="1" xfId="3" applyFont="1" applyBorder="1"/>
    <xf numFmtId="165" fontId="10" fillId="0" borderId="1" xfId="4" applyFont="1" applyBorder="1" applyAlignment="1">
      <alignment horizontal="left"/>
    </xf>
    <xf numFmtId="165" fontId="10" fillId="0" borderId="1" xfId="4" applyNumberFormat="1" applyFont="1" applyBorder="1" applyAlignment="1">
      <alignment horizontal="left"/>
    </xf>
    <xf numFmtId="165" fontId="18" fillId="0" borderId="1" xfId="4" applyFont="1" applyBorder="1" applyAlignment="1">
      <alignment horizontal="left"/>
    </xf>
    <xf numFmtId="0" fontId="18" fillId="0" borderId="0" xfId="3" applyFont="1"/>
    <xf numFmtId="165" fontId="14" fillId="0" borderId="1" xfId="4" applyFont="1" applyBorder="1" applyAlignment="1">
      <alignment horizontal="left"/>
    </xf>
    <xf numFmtId="165" fontId="14" fillId="0" borderId="1" xfId="4" applyNumberFormat="1" applyFont="1" applyBorder="1" applyAlignment="1">
      <alignment horizontal="left"/>
    </xf>
    <xf numFmtId="0" fontId="8" fillId="0" borderId="1" xfId="3" applyFont="1" applyBorder="1"/>
    <xf numFmtId="166" fontId="0" fillId="0" borderId="0" xfId="5" applyNumberFormat="1" applyFont="1"/>
    <xf numFmtId="0" fontId="0" fillId="0" borderId="0" xfId="0" applyAlignment="1"/>
    <xf numFmtId="0" fontId="15" fillId="0" borderId="0" xfId="3" applyFont="1" applyFill="1"/>
    <xf numFmtId="0" fontId="0" fillId="0" borderId="0" xfId="0" applyAlignment="1">
      <alignment horizontal="center"/>
    </xf>
    <xf numFmtId="0" fontId="14" fillId="0" borderId="1" xfId="3" applyFont="1" applyBorder="1" applyAlignment="1">
      <alignment wrapText="1"/>
    </xf>
    <xf numFmtId="0" fontId="14" fillId="0" borderId="1" xfId="4" applyNumberFormat="1" applyFont="1" applyBorder="1" applyAlignment="1">
      <alignment horizontal="right" wrapText="1"/>
    </xf>
  </cellXfs>
  <cellStyles count="6">
    <cellStyle name="Comma" xfId="1" builtinId="3"/>
    <cellStyle name="Currency 2" xfId="4"/>
    <cellStyle name="Normal" xfId="0" builtinId="0"/>
    <cellStyle name="Normal 2" xfId="3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'Model 3 years'!$B$56</c:f>
              <c:strCache>
                <c:ptCount val="1"/>
                <c:pt idx="0">
                  <c:v>Profit margin = op profit / 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'Model 3 years'!$C$55:$G$55</c:f>
              <c:numCache>
                <c:formatCode>General</c:formatCode>
                <c:ptCount val="5"/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'Model 3 years'!$C$56:$G$56</c:f>
              <c:numCache>
                <c:formatCode>0.0%</c:formatCode>
                <c:ptCount val="5"/>
                <c:pt idx="1">
                  <c:v>7.3017996108949421E-2</c:v>
                </c:pt>
                <c:pt idx="2">
                  <c:v>7.3017996108949337E-2</c:v>
                </c:pt>
                <c:pt idx="3">
                  <c:v>9.0844573106854259E-2</c:v>
                </c:pt>
                <c:pt idx="4">
                  <c:v>0.11682044244665842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7B-448F-BE26-D0B78327D638}"/>
            </c:ext>
          </c:extLst>
        </c:ser>
        <c:ser>
          <c:idx val="1"/>
          <c:order val="1"/>
          <c:tx>
            <c:strRef>
              <c:f>'Model 3 years'!$B$57</c:f>
              <c:strCache>
                <c:ptCount val="1"/>
                <c:pt idx="0">
                  <c:v>ROCE = PBIT / Capital employed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'Model 3 years'!$C$55:$G$55</c:f>
              <c:numCache>
                <c:formatCode>General</c:formatCode>
                <c:ptCount val="5"/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'Model 3 years'!$C$57:$G$57</c:f>
              <c:numCache>
                <c:formatCode>0.0%</c:formatCode>
                <c:ptCount val="5"/>
                <c:pt idx="1">
                  <c:v>0.13240071764534744</c:v>
                </c:pt>
                <c:pt idx="2">
                  <c:v>0.14438937510747299</c:v>
                </c:pt>
                <c:pt idx="3">
                  <c:v>0.16924631582283231</c:v>
                </c:pt>
                <c:pt idx="4">
                  <c:v>0.2013773805203741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7B-448F-BE26-D0B78327D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641856"/>
        <c:axId val="1"/>
      </c:lineChart>
      <c:catAx>
        <c:axId val="28164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6418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TT"/>
              <a:t>Net</a:t>
            </a:r>
            <a:r>
              <a:rPr lang="en-TT" baseline="0"/>
              <a:t> Cash Flow</a:t>
            </a:r>
            <a:endParaRPr lang="en-T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CBA!$B$5:$G$5</c:f>
              <c:strCache>
                <c:ptCount val="4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</c:strCache>
            </c:strRef>
          </c:cat>
          <c:val>
            <c:numRef>
              <c:f>CBA!$B$11:$G$11</c:f>
              <c:numCache>
                <c:formatCode>0</c:formatCode>
                <c:ptCount val="6"/>
                <c:pt idx="0" formatCode="General">
                  <c:v>-200</c:v>
                </c:pt>
                <c:pt idx="1">
                  <c:v>12.009999999999309</c:v>
                </c:pt>
                <c:pt idx="2">
                  <c:v>180.01980000000094</c:v>
                </c:pt>
                <c:pt idx="3">
                  <c:v>277.57117199999993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9-4AAD-9C46-0EF70F08EA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2049984"/>
        <c:axId val="342047032"/>
      </c:barChart>
      <c:catAx>
        <c:axId val="34204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047032"/>
        <c:crosses val="autoZero"/>
        <c:auto val="1"/>
        <c:lblAlgn val="ctr"/>
        <c:lblOffset val="100"/>
        <c:noMultiLvlLbl val="0"/>
      </c:catAx>
      <c:valAx>
        <c:axId val="34204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04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TT"/>
              <a:t>Payback Period </a:t>
            </a:r>
            <a:r>
              <a:rPr lang="en-TT" baseline="0"/>
              <a:t>Chart</a:t>
            </a:r>
            <a:endParaRPr lang="en-T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CBA!$A$8</c:f>
              <c:strCache>
                <c:ptCount val="1"/>
                <c:pt idx="0">
                  <c:v>Cumulative 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CBA!$B$5:$G$5</c:f>
              <c:strCache>
                <c:ptCount val="4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</c:strCache>
            </c:strRef>
          </c:cat>
          <c:val>
            <c:numRef>
              <c:f>CBA!$B$8:$G$8</c:f>
              <c:numCache>
                <c:formatCode>0</c:formatCode>
                <c:ptCount val="6"/>
                <c:pt idx="0" formatCode="General">
                  <c:v>200</c:v>
                </c:pt>
                <c:pt idx="1">
                  <c:v>352.47000000000025</c:v>
                </c:pt>
                <c:pt idx="2">
                  <c:v>507.98940000000039</c:v>
                </c:pt>
                <c:pt idx="3">
                  <c:v>666.61918800000058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E1-47B2-87BC-255848B6EC72}"/>
            </c:ext>
          </c:extLst>
        </c:ser>
        <c:ser>
          <c:idx val="1"/>
          <c:order val="1"/>
          <c:tx>
            <c:strRef>
              <c:f>CBA!$A$10</c:f>
              <c:strCache>
                <c:ptCount val="1"/>
                <c:pt idx="0">
                  <c:v>Cumulative Benefits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CBA!$B$5:$G$5</c:f>
              <c:strCache>
                <c:ptCount val="4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</c:strCache>
            </c:strRef>
          </c:cat>
          <c:val>
            <c:numRef>
              <c:f>CBA!$B$10:$G$10</c:f>
              <c:numCache>
                <c:formatCode>0</c:formatCode>
                <c:ptCount val="6"/>
                <c:pt idx="0" formatCode="General">
                  <c:v>0</c:v>
                </c:pt>
                <c:pt idx="1">
                  <c:v>164.47999999999956</c:v>
                </c:pt>
                <c:pt idx="2">
                  <c:v>500.01920000000064</c:v>
                </c:pt>
                <c:pt idx="3">
                  <c:v>936.22016000000076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E1-47B2-87BC-255848B6E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330192"/>
        <c:axId val="308337640"/>
      </c:lineChart>
      <c:catAx>
        <c:axId val="30833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337640"/>
        <c:crosses val="autoZero"/>
        <c:auto val="1"/>
        <c:lblAlgn val="ctr"/>
        <c:lblOffset val="100"/>
        <c:noMultiLvlLbl val="0"/>
      </c:catAx>
      <c:valAx>
        <c:axId val="308337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33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TT"/>
              <a:t>Discounted</a:t>
            </a:r>
            <a:r>
              <a:rPr lang="en-TT" baseline="0"/>
              <a:t> Cash Flow @ 5%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CBA!$B$5:$G$5</c:f>
              <c:strCache>
                <c:ptCount val="4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</c:strCache>
            </c:strRef>
          </c:cat>
          <c:val>
            <c:numRef>
              <c:f>CBA!$B$14:$G$14</c:f>
              <c:numCache>
                <c:formatCode>0</c:formatCode>
                <c:ptCount val="6"/>
                <c:pt idx="0" formatCode="General">
                  <c:v>-200</c:v>
                </c:pt>
                <c:pt idx="1">
                  <c:v>11.433519999999341</c:v>
                </c:pt>
                <c:pt idx="2">
                  <c:v>163.27795860000086</c:v>
                </c:pt>
                <c:pt idx="3">
                  <c:v>239.82149260799994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A-479D-A020-C7E3F210FD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83502128"/>
        <c:axId val="283499832"/>
      </c:barChart>
      <c:catAx>
        <c:axId val="28350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499832"/>
        <c:crosses val="autoZero"/>
        <c:auto val="1"/>
        <c:lblAlgn val="ctr"/>
        <c:lblOffset val="100"/>
        <c:noMultiLvlLbl val="0"/>
      </c:catAx>
      <c:valAx>
        <c:axId val="28349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50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ROI</a:t>
            </a:r>
            <a:r>
              <a:rPr lang="en-US" baseline="0"/>
              <a:t> year on year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Year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CBA!$C$5:$E$5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CBA!$C$16:$E$16</c:f>
              <c:numCache>
                <c:formatCode>0%</c:formatCode>
                <c:ptCount val="3"/>
                <c:pt idx="0">
                  <c:v>5.7167599999996703E-2</c:v>
                </c:pt>
                <c:pt idx="1">
                  <c:v>0.81638979300000425</c:v>
                </c:pt>
                <c:pt idx="2">
                  <c:v>1.1991074630399998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95-4699-8186-810D4A62A8F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71865048"/>
        <c:axId val="371865704"/>
      </c:lineChart>
      <c:catAx>
        <c:axId val="37186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865704"/>
        <c:crosses val="autoZero"/>
        <c:auto val="1"/>
        <c:lblAlgn val="ctr"/>
        <c:lblOffset val="100"/>
        <c:noMultiLvlLbl val="0"/>
      </c:catAx>
      <c:valAx>
        <c:axId val="37186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865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80596</xdr:colOff>
      <xdr:row>57</xdr:row>
      <xdr:rowOff>153866</xdr:rowOff>
    </xdr:from>
    <xdr:to>
      <xdr:col>4</xdr:col>
      <xdr:colOff>435220</xdr:colOff>
      <xdr:row>75</xdr:row>
      <xdr:rowOff>126756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285750</xdr:colOff>
      <xdr:row>14</xdr:row>
      <xdr:rowOff>146958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3</xdr:row>
      <xdr:rowOff>9525</xdr:rowOff>
    </xdr:from>
    <xdr:to>
      <xdr:col>15</xdr:col>
      <xdr:colOff>202452</xdr:colOff>
      <xdr:row>14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266700</xdr:colOff>
      <xdr:row>30</xdr:row>
      <xdr:rowOff>85725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438150</xdr:colOff>
      <xdr:row>18</xdr:row>
      <xdr:rowOff>19050</xdr:rowOff>
    </xdr:from>
    <xdr:to>
      <xdr:col>15</xdr:col>
      <xdr:colOff>133350</xdr:colOff>
      <xdr:row>30</xdr:row>
      <xdr:rowOff>85725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cuments/Lecture_Notes_April_19_2017/Fast%20Track%20MBA/Business%20Analysis%20Project/BAP%20ARU%20Files/Lecture%204c%20Sensitivity-analysis-marks-and-spenc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imple "/>
      <sheetName val="Formula"/>
      <sheetName val="% Changes"/>
      <sheetName val="Modelling"/>
      <sheetName val="Model 3 years"/>
    </sheetNames>
    <sheetDataSet>
      <sheetData sheetId="0"/>
      <sheetData sheetId="1"/>
      <sheetData sheetId="2"/>
      <sheetData sheetId="3"/>
      <sheetData sheetId="4"/>
      <sheetData sheetId="5">
        <row r="55">
          <cell r="C55">
            <v>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B64" zoomScale="130" zoomScaleNormal="130" workbookViewId="0">
      <selection activeCell="I8" sqref="I8"/>
    </sheetView>
  </sheetViews>
  <sheetFormatPr defaultColWidth="8.85546875" defaultRowHeight="15" x14ac:dyDescent="0.25"/>
  <cols>
    <col min="1" max="1" width="3.42578125" style="15" customWidth="1"/>
    <col min="2" max="2" width="28.42578125" style="19" customWidth="1"/>
    <col min="3" max="3" width="12.7109375" style="19" customWidth="1"/>
    <col min="4" max="4" width="11" style="19" customWidth="1"/>
    <col min="5" max="5" width="12.28515625" style="19" customWidth="1"/>
    <col min="6" max="6" width="11" style="19" customWidth="1"/>
    <col min="7" max="7" width="12.5703125" style="19" customWidth="1"/>
    <col min="8" max="8" width="9.85546875" style="19" customWidth="1"/>
    <col min="9" max="9" width="12.28515625" style="20" customWidth="1"/>
    <col min="10" max="16384" width="8.85546875" style="19"/>
  </cols>
  <sheetData>
    <row r="1" spans="1:9" s="17" customFormat="1" ht="18" x14ac:dyDescent="0.25">
      <c r="A1" s="15">
        <v>1</v>
      </c>
      <c r="B1" s="16"/>
      <c r="I1" s="18"/>
    </row>
    <row r="2" spans="1:9" x14ac:dyDescent="0.25">
      <c r="A2" s="15">
        <v>2</v>
      </c>
    </row>
    <row r="3" spans="1:9" x14ac:dyDescent="0.25">
      <c r="A3" s="15">
        <v>3</v>
      </c>
    </row>
    <row r="4" spans="1:9" s="21" customFormat="1" ht="12.75" x14ac:dyDescent="0.2">
      <c r="A4" s="15">
        <v>4</v>
      </c>
      <c r="B4" s="21" t="s">
        <v>18</v>
      </c>
      <c r="I4" s="22"/>
    </row>
    <row r="5" spans="1:9" s="25" customFormat="1" ht="12.75" x14ac:dyDescent="0.2">
      <c r="A5" s="15">
        <v>5</v>
      </c>
      <c r="B5" s="23" t="s">
        <v>19</v>
      </c>
      <c r="C5" s="23" t="s">
        <v>20</v>
      </c>
      <c r="D5" s="23" t="s">
        <v>21</v>
      </c>
      <c r="E5" s="23" t="s">
        <v>20</v>
      </c>
      <c r="F5" s="23" t="s">
        <v>21</v>
      </c>
      <c r="G5" s="23" t="s">
        <v>20</v>
      </c>
      <c r="H5" s="23" t="s">
        <v>21</v>
      </c>
      <c r="I5" s="24" t="s">
        <v>22</v>
      </c>
    </row>
    <row r="6" spans="1:9" ht="33.75" customHeight="1" x14ac:dyDescent="0.25">
      <c r="A6" s="15">
        <v>6</v>
      </c>
      <c r="B6" s="26"/>
      <c r="C6" s="27" t="s">
        <v>23</v>
      </c>
      <c r="D6" s="26"/>
      <c r="E6" s="27" t="s">
        <v>23</v>
      </c>
      <c r="F6" s="26"/>
      <c r="G6" s="27" t="s">
        <v>23</v>
      </c>
      <c r="H6" s="26"/>
      <c r="I6" s="28" t="s">
        <v>24</v>
      </c>
    </row>
    <row r="7" spans="1:9" x14ac:dyDescent="0.25">
      <c r="A7" s="29">
        <v>7</v>
      </c>
      <c r="B7" s="26"/>
      <c r="C7" s="26"/>
      <c r="D7" s="26"/>
      <c r="E7" s="26"/>
      <c r="F7" s="26"/>
      <c r="G7" s="26"/>
      <c r="H7" s="30"/>
      <c r="I7" s="31"/>
    </row>
    <row r="8" spans="1:9" s="35" customFormat="1" ht="38.25" x14ac:dyDescent="0.2">
      <c r="A8" s="32">
        <v>8</v>
      </c>
      <c r="B8" s="33" t="s">
        <v>25</v>
      </c>
      <c r="C8" s="85" t="s">
        <v>73</v>
      </c>
      <c r="D8" s="34" t="s">
        <v>26</v>
      </c>
      <c r="E8" s="85" t="s">
        <v>72</v>
      </c>
      <c r="F8" s="34" t="s">
        <v>26</v>
      </c>
      <c r="G8" s="85" t="s">
        <v>71</v>
      </c>
      <c r="H8" s="34" t="s">
        <v>26</v>
      </c>
      <c r="I8" s="86" t="s">
        <v>74</v>
      </c>
    </row>
    <row r="9" spans="1:9" ht="15.75" thickBot="1" x14ac:dyDescent="0.3">
      <c r="A9" s="29">
        <v>9</v>
      </c>
      <c r="B9" s="26"/>
      <c r="C9" s="26"/>
      <c r="D9" s="36"/>
      <c r="E9" s="26"/>
      <c r="F9" s="36"/>
      <c r="G9" s="26"/>
      <c r="H9" s="36"/>
      <c r="I9" s="31" t="s">
        <v>27</v>
      </c>
    </row>
    <row r="10" spans="1:9" ht="15.75" thickBot="1" x14ac:dyDescent="0.3">
      <c r="A10" s="29">
        <v>10</v>
      </c>
      <c r="B10" s="26" t="s">
        <v>28</v>
      </c>
      <c r="C10" s="37">
        <f>(E10*(1+D10))</f>
        <v>9160.2201600000008</v>
      </c>
      <c r="D10" s="38">
        <v>0.05</v>
      </c>
      <c r="E10" s="37">
        <f>(G10*(1+F10))</f>
        <v>8724.0192000000006</v>
      </c>
      <c r="F10" s="38">
        <v>0.04</v>
      </c>
      <c r="G10" s="37">
        <f>(I10*(1+H10))</f>
        <v>8388.48</v>
      </c>
      <c r="H10" s="38">
        <v>0.02</v>
      </c>
      <c r="I10" s="31">
        <v>8224</v>
      </c>
    </row>
    <row r="11" spans="1:9" ht="15.75" thickBot="1" x14ac:dyDescent="0.3">
      <c r="A11" s="29">
        <v>11</v>
      </c>
      <c r="B11" s="26" t="s">
        <v>29</v>
      </c>
      <c r="C11" s="37">
        <f>(E11*(1+D11))</f>
        <v>-8090.1191880000006</v>
      </c>
      <c r="D11" s="38">
        <v>0.02</v>
      </c>
      <c r="E11" s="37">
        <f>(G11*(1+F11))</f>
        <v>-7931.4894000000004</v>
      </c>
      <c r="F11" s="38">
        <v>0.02</v>
      </c>
      <c r="G11" s="37">
        <f>(I11*(1+H11))</f>
        <v>-7775.97</v>
      </c>
      <c r="H11" s="38">
        <v>0.02</v>
      </c>
      <c r="I11" s="31">
        <v>-7623.5</v>
      </c>
    </row>
    <row r="12" spans="1:9" s="44" customFormat="1" ht="13.5" thickBot="1" x14ac:dyDescent="0.25">
      <c r="A12" s="39">
        <v>12</v>
      </c>
      <c r="B12" s="40" t="s">
        <v>30</v>
      </c>
      <c r="C12" s="41">
        <f>SUM(C10:C11)</f>
        <v>1070.1009720000002</v>
      </c>
      <c r="D12" s="42">
        <f>(C12-E12)/E12</f>
        <v>0.35023436595065555</v>
      </c>
      <c r="E12" s="41">
        <f>SUM(E10:E11)</f>
        <v>792.52980000000025</v>
      </c>
      <c r="F12" s="42">
        <f>(E12-G12)/G12</f>
        <v>0.29390507910075125</v>
      </c>
      <c r="G12" s="41">
        <f>SUM(G10:G11)</f>
        <v>612.50999999999931</v>
      </c>
      <c r="H12" s="42">
        <f>(G12-I12)/I12</f>
        <v>1.9999999999998849E-2</v>
      </c>
      <c r="I12" s="43">
        <f>SUM(I10:I11)</f>
        <v>600.5</v>
      </c>
    </row>
    <row r="13" spans="1:9" ht="15.75" thickBot="1" x14ac:dyDescent="0.3">
      <c r="A13" s="29">
        <v>13</v>
      </c>
      <c r="B13" s="45" t="s">
        <v>31</v>
      </c>
      <c r="C13" s="46">
        <v>50</v>
      </c>
      <c r="D13" s="47"/>
      <c r="E13" s="46">
        <v>50</v>
      </c>
      <c r="F13" s="47"/>
      <c r="G13" s="46">
        <v>50</v>
      </c>
      <c r="H13" s="47"/>
      <c r="I13" s="31">
        <v>-88.5</v>
      </c>
    </row>
    <row r="14" spans="1:9" s="52" customFormat="1" ht="13.5" thickBot="1" x14ac:dyDescent="0.25">
      <c r="A14" s="39">
        <v>14</v>
      </c>
      <c r="B14" s="48" t="s">
        <v>32</v>
      </c>
      <c r="C14" s="49">
        <f>SUM(C12:C13)</f>
        <v>1120.1009720000002</v>
      </c>
      <c r="D14" s="42">
        <f>(C14-E14)/E14</f>
        <v>0.32944967881254744</v>
      </c>
      <c r="E14" s="49">
        <f>SUM(E12:E13)</f>
        <v>842.52980000000025</v>
      </c>
      <c r="F14" s="42">
        <f>(E14-G14)/G14</f>
        <v>0.27172389850719403</v>
      </c>
      <c r="G14" s="49">
        <f>SUM(G12:G13)</f>
        <v>662.50999999999931</v>
      </c>
      <c r="H14" s="50">
        <f>(G14-I14)/I14</f>
        <v>0.29396484374999865</v>
      </c>
      <c r="I14" s="51">
        <f>SUM(I12:I13)</f>
        <v>512</v>
      </c>
    </row>
    <row r="15" spans="1:9" ht="15.75" thickBot="1" x14ac:dyDescent="0.3">
      <c r="A15" s="29">
        <v>15</v>
      </c>
      <c r="B15" s="45" t="s">
        <v>33</v>
      </c>
      <c r="C15" s="53">
        <v>0</v>
      </c>
      <c r="D15" s="47"/>
      <c r="E15" s="53">
        <v>0</v>
      </c>
      <c r="F15" s="47"/>
      <c r="G15" s="53">
        <v>0</v>
      </c>
      <c r="H15" s="47"/>
      <c r="I15" s="31">
        <v>6.2</v>
      </c>
    </row>
    <row r="16" spans="1:9" ht="15.75" thickBot="1" x14ac:dyDescent="0.3">
      <c r="A16" s="29">
        <v>16</v>
      </c>
      <c r="B16" s="45" t="s">
        <v>34</v>
      </c>
      <c r="C16" s="53">
        <v>0</v>
      </c>
      <c r="D16" s="47"/>
      <c r="E16" s="53">
        <v>0</v>
      </c>
      <c r="F16" s="47"/>
      <c r="G16" s="53">
        <v>0</v>
      </c>
      <c r="H16" s="47"/>
      <c r="I16" s="31">
        <v>27.9</v>
      </c>
    </row>
    <row r="17" spans="1:9" s="52" customFormat="1" ht="12.75" x14ac:dyDescent="0.2">
      <c r="A17" s="39">
        <v>17</v>
      </c>
      <c r="B17" s="48" t="s">
        <v>35</v>
      </c>
      <c r="C17" s="54">
        <f>SUM(C14:C16)</f>
        <v>1120.1009720000002</v>
      </c>
      <c r="D17" s="42">
        <f>(C17-E17)/E17</f>
        <v>0.32944967881254744</v>
      </c>
      <c r="E17" s="54">
        <f>SUM(E14:E16)</f>
        <v>842.52980000000025</v>
      </c>
      <c r="F17" s="42">
        <f>(E17-G17)/G17</f>
        <v>0.27172389850719403</v>
      </c>
      <c r="G17" s="54">
        <f>SUM(G14:G16)</f>
        <v>662.50999999999931</v>
      </c>
      <c r="H17" s="50">
        <f>(G17-I17)/I17</f>
        <v>0.21316608679728855</v>
      </c>
      <c r="I17" s="51">
        <f>SUM(I14:I16)</f>
        <v>546.1</v>
      </c>
    </row>
    <row r="18" spans="1:9" x14ac:dyDescent="0.25">
      <c r="A18" s="29">
        <v>18</v>
      </c>
      <c r="B18" s="26" t="s">
        <v>36</v>
      </c>
      <c r="C18" s="55">
        <f>-C17*0.3</f>
        <v>-336.03029160000006</v>
      </c>
      <c r="D18" s="56"/>
      <c r="E18" s="55">
        <f>-E17*0.3</f>
        <v>-252.75894000000005</v>
      </c>
      <c r="F18" s="56"/>
      <c r="G18" s="55">
        <f>-G17*0.3</f>
        <v>-198.75299999999979</v>
      </c>
      <c r="H18" s="56"/>
      <c r="I18" s="31">
        <v>-176.1</v>
      </c>
    </row>
    <row r="19" spans="1:9" s="52" customFormat="1" ht="13.5" thickBot="1" x14ac:dyDescent="0.25">
      <c r="A19" s="39">
        <v>19</v>
      </c>
      <c r="B19" s="48" t="s">
        <v>37</v>
      </c>
      <c r="C19" s="57">
        <f>SUM(C17:C18)</f>
        <v>784.07068040000013</v>
      </c>
      <c r="D19" s="42">
        <f>(C19-E19)/E19</f>
        <v>0.32944967881254739</v>
      </c>
      <c r="E19" s="57">
        <f>SUM(E17:E18)</f>
        <v>589.7708600000002</v>
      </c>
      <c r="F19" s="42">
        <f>(E19-G19)/G19</f>
        <v>0.27172389850719414</v>
      </c>
      <c r="G19" s="57">
        <f>SUM(G17:G18)</f>
        <v>463.75699999999949</v>
      </c>
      <c r="H19" s="50">
        <f>(G19-I19)/I19</f>
        <v>0.25339729729729593</v>
      </c>
      <c r="I19" s="51">
        <f>SUM(I17:I18)</f>
        <v>370</v>
      </c>
    </row>
    <row r="20" spans="1:9" ht="15.75" thickBot="1" x14ac:dyDescent="0.3">
      <c r="A20" s="29">
        <v>20</v>
      </c>
      <c r="B20" s="45" t="s">
        <v>38</v>
      </c>
      <c r="C20" s="53">
        <v>0</v>
      </c>
      <c r="D20" s="47"/>
      <c r="E20" s="53">
        <v>0</v>
      </c>
      <c r="F20" s="47"/>
      <c r="G20" s="53">
        <v>0</v>
      </c>
      <c r="H20" s="47"/>
      <c r="I20" s="31">
        <v>2.1</v>
      </c>
    </row>
    <row r="21" spans="1:9" s="52" customFormat="1" ht="13.5" thickBot="1" x14ac:dyDescent="0.25">
      <c r="A21" s="39">
        <v>21</v>
      </c>
      <c r="B21" s="48" t="s">
        <v>39</v>
      </c>
      <c r="C21" s="54">
        <f>SUM(C19:C20)</f>
        <v>784.07068040000013</v>
      </c>
      <c r="D21" s="42">
        <f>(C21-E21)/E21</f>
        <v>0.32944967881254739</v>
      </c>
      <c r="E21" s="54">
        <f>SUM(E19:E20)</f>
        <v>589.7708600000002</v>
      </c>
      <c r="F21" s="42">
        <f>(E21-G21)/G21</f>
        <v>0.27172389850719414</v>
      </c>
      <c r="G21" s="54">
        <f>SUM(G19:G20)</f>
        <v>463.75699999999949</v>
      </c>
      <c r="H21" s="58">
        <f>(G21-I21)/I21</f>
        <v>0.24632356893308108</v>
      </c>
      <c r="I21" s="51">
        <f>SUM(I19:I20)</f>
        <v>372.1</v>
      </c>
    </row>
    <row r="22" spans="1:9" ht="15.75" thickBot="1" x14ac:dyDescent="0.3">
      <c r="A22" s="29">
        <v>22</v>
      </c>
      <c r="B22" s="26" t="s">
        <v>40</v>
      </c>
      <c r="C22" s="31">
        <v>-200</v>
      </c>
      <c r="D22" s="59"/>
      <c r="E22" s="31">
        <v>-200</v>
      </c>
      <c r="F22" s="59"/>
      <c r="G22" s="31">
        <v>0</v>
      </c>
      <c r="H22" s="59"/>
      <c r="I22" s="31">
        <v>-413.3</v>
      </c>
    </row>
    <row r="23" spans="1:9" s="65" customFormat="1" ht="12.75" x14ac:dyDescent="0.2">
      <c r="A23" s="60">
        <v>23</v>
      </c>
      <c r="B23" s="61" t="s">
        <v>41</v>
      </c>
      <c r="C23" s="62">
        <f>SUM(C21:C22)</f>
        <v>584.07068040000013</v>
      </c>
      <c r="D23" s="42">
        <f>(C23-E23)/E23</f>
        <v>0.49849755417836988</v>
      </c>
      <c r="E23" s="62">
        <f>SUM(E21:E22)</f>
        <v>389.7708600000002</v>
      </c>
      <c r="F23" s="42">
        <f>(E23-G23)/G23</f>
        <v>-0.15953643826400329</v>
      </c>
      <c r="G23" s="62">
        <f>SUM(G21:G22)</f>
        <v>463.75699999999949</v>
      </c>
      <c r="H23" s="63">
        <f>(G23-I23)/I23</f>
        <v>-12.256237864077661</v>
      </c>
      <c r="I23" s="64">
        <f>SUM(I21:I22)</f>
        <v>-41.199999999999989</v>
      </c>
    </row>
    <row r="24" spans="1:9" x14ac:dyDescent="0.25">
      <c r="A24" s="29">
        <v>24</v>
      </c>
      <c r="B24" s="26"/>
      <c r="C24" s="66"/>
      <c r="D24" s="56" t="s">
        <v>27</v>
      </c>
      <c r="E24" s="66"/>
      <c r="F24" s="56" t="s">
        <v>27</v>
      </c>
      <c r="G24" s="66"/>
      <c r="H24" s="56" t="s">
        <v>27</v>
      </c>
      <c r="I24" s="31"/>
    </row>
    <row r="25" spans="1:9" x14ac:dyDescent="0.25">
      <c r="A25" s="29">
        <v>25</v>
      </c>
      <c r="B25" s="26"/>
      <c r="C25" s="66"/>
      <c r="D25" s="56" t="s">
        <v>27</v>
      </c>
      <c r="E25" s="66"/>
      <c r="F25" s="56" t="s">
        <v>27</v>
      </c>
      <c r="G25" s="66"/>
      <c r="H25" s="56" t="s">
        <v>27</v>
      </c>
      <c r="I25" s="31"/>
    </row>
    <row r="26" spans="1:9" s="35" customFormat="1" x14ac:dyDescent="0.25">
      <c r="A26" s="32">
        <v>26</v>
      </c>
      <c r="B26" s="33" t="s">
        <v>42</v>
      </c>
      <c r="C26" s="67"/>
      <c r="D26" s="56" t="s">
        <v>27</v>
      </c>
      <c r="E26" s="67"/>
      <c r="F26" s="56" t="s">
        <v>27</v>
      </c>
      <c r="G26" s="67"/>
      <c r="H26" s="56" t="s">
        <v>27</v>
      </c>
      <c r="I26" s="68" t="s">
        <v>43</v>
      </c>
    </row>
    <row r="27" spans="1:9" x14ac:dyDescent="0.25">
      <c r="A27" s="29">
        <v>27</v>
      </c>
      <c r="B27" s="26" t="s">
        <v>44</v>
      </c>
      <c r="C27" s="69">
        <v>4387.5</v>
      </c>
      <c r="D27" s="50">
        <f>(C27-E27)/E27</f>
        <v>0</v>
      </c>
      <c r="E27" s="69">
        <v>4387.5</v>
      </c>
      <c r="F27" s="50">
        <f>(E27-G27)/G27</f>
        <v>0</v>
      </c>
      <c r="G27" s="69">
        <v>4387.5</v>
      </c>
      <c r="H27" s="50">
        <f t="shared" ref="H27:H33" si="0">(G27-I27)/I27</f>
        <v>0</v>
      </c>
      <c r="I27" s="31">
        <v>4387.5</v>
      </c>
    </row>
    <row r="28" spans="1:9" x14ac:dyDescent="0.25">
      <c r="A28" s="29">
        <v>28</v>
      </c>
      <c r="B28" s="26" t="s">
        <v>45</v>
      </c>
      <c r="C28" s="69">
        <v>61.2</v>
      </c>
      <c r="D28" s="50">
        <f t="shared" ref="D28:F51" si="1">(C28-E28)/E28</f>
        <v>0</v>
      </c>
      <c r="E28" s="69">
        <v>61.2</v>
      </c>
      <c r="F28" s="50">
        <f t="shared" si="1"/>
        <v>0</v>
      </c>
      <c r="G28" s="69">
        <v>61.2</v>
      </c>
      <c r="H28" s="50">
        <f t="shared" si="0"/>
        <v>0</v>
      </c>
      <c r="I28" s="31">
        <v>61.2</v>
      </c>
    </row>
    <row r="29" spans="1:9" s="52" customFormat="1" ht="12.75" x14ac:dyDescent="0.2">
      <c r="A29" s="39">
        <v>29</v>
      </c>
      <c r="B29" s="48" t="s">
        <v>46</v>
      </c>
      <c r="C29" s="70">
        <f>SUM(C27:C28)</f>
        <v>4448.7</v>
      </c>
      <c r="D29" s="50">
        <f t="shared" si="1"/>
        <v>0</v>
      </c>
      <c r="E29" s="70">
        <f>SUM(E27:E28)</f>
        <v>4448.7</v>
      </c>
      <c r="F29" s="50">
        <f t="shared" si="1"/>
        <v>0</v>
      </c>
      <c r="G29" s="70">
        <f>SUM(G27:G28)</f>
        <v>4448.7</v>
      </c>
      <c r="H29" s="50">
        <f t="shared" si="0"/>
        <v>0</v>
      </c>
      <c r="I29" s="51">
        <f>SUM(I27:I28)</f>
        <v>4448.7</v>
      </c>
    </row>
    <row r="30" spans="1:9" x14ac:dyDescent="0.25">
      <c r="A30" s="29">
        <v>30</v>
      </c>
      <c r="B30" s="26" t="s">
        <v>47</v>
      </c>
      <c r="C30" s="69">
        <v>514.70000000000005</v>
      </c>
      <c r="D30" s="50">
        <f t="shared" si="1"/>
        <v>0</v>
      </c>
      <c r="E30" s="69">
        <v>514.70000000000005</v>
      </c>
      <c r="F30" s="50">
        <f t="shared" si="1"/>
        <v>0</v>
      </c>
      <c r="G30" s="69">
        <v>514.70000000000005</v>
      </c>
      <c r="H30" s="50">
        <f t="shared" si="0"/>
        <v>0</v>
      </c>
      <c r="I30" s="31">
        <v>514.70000000000005</v>
      </c>
    </row>
    <row r="31" spans="1:9" x14ac:dyDescent="0.25">
      <c r="A31" s="29">
        <v>31</v>
      </c>
      <c r="B31" s="26" t="s">
        <v>48</v>
      </c>
      <c r="C31" s="69">
        <v>2355.6999999999998</v>
      </c>
      <c r="D31" s="50">
        <f t="shared" si="1"/>
        <v>0</v>
      </c>
      <c r="E31" s="69">
        <v>2355.6999999999998</v>
      </c>
      <c r="F31" s="50">
        <f t="shared" si="1"/>
        <v>0</v>
      </c>
      <c r="G31" s="69">
        <v>2355.6999999999998</v>
      </c>
      <c r="H31" s="50">
        <f t="shared" si="0"/>
        <v>0</v>
      </c>
      <c r="I31" s="31">
        <v>2355.6999999999998</v>
      </c>
    </row>
    <row r="32" spans="1:9" x14ac:dyDescent="0.25">
      <c r="A32" s="29">
        <v>32</v>
      </c>
      <c r="B32" s="71" t="s">
        <v>49</v>
      </c>
      <c r="C32" s="72">
        <f>C23+E32</f>
        <v>1923.0985403999998</v>
      </c>
      <c r="D32" s="50">
        <f t="shared" si="1"/>
        <v>0.43619008823311584</v>
      </c>
      <c r="E32" s="72">
        <f>E23+G32</f>
        <v>1339.0278599999997</v>
      </c>
      <c r="F32" s="50">
        <f t="shared" si="1"/>
        <v>0.41060625310111004</v>
      </c>
      <c r="G32" s="72">
        <f>G23+I32</f>
        <v>949.25699999999949</v>
      </c>
      <c r="H32" s="50">
        <f t="shared" si="0"/>
        <v>0.95521524201853658</v>
      </c>
      <c r="I32" s="31">
        <v>485.5</v>
      </c>
    </row>
    <row r="33" spans="1:9" s="52" customFormat="1" ht="12.75" x14ac:dyDescent="0.2">
      <c r="A33" s="39">
        <v>33</v>
      </c>
      <c r="B33" s="48" t="s">
        <v>50</v>
      </c>
      <c r="C33" s="70">
        <f>SUM(C30:C32)</f>
        <v>4793.4985403999999</v>
      </c>
      <c r="D33" s="50">
        <f t="shared" si="1"/>
        <v>0.13875298492465438</v>
      </c>
      <c r="E33" s="70">
        <f>SUM(E30:E32)</f>
        <v>4209.4278599999998</v>
      </c>
      <c r="F33" s="50">
        <f t="shared" si="1"/>
        <v>0.1020434190818706</v>
      </c>
      <c r="G33" s="70">
        <f>SUM(G30:G32)</f>
        <v>3819.6569999999992</v>
      </c>
      <c r="H33" s="50">
        <f t="shared" si="0"/>
        <v>0.13819154325218261</v>
      </c>
      <c r="I33" s="51">
        <f>SUM(I30:I32)</f>
        <v>3355.8999999999996</v>
      </c>
    </row>
    <row r="34" spans="1:9" x14ac:dyDescent="0.25">
      <c r="A34" s="29">
        <v>34</v>
      </c>
      <c r="B34" s="26" t="s">
        <v>51</v>
      </c>
      <c r="C34" s="69"/>
      <c r="D34" s="50"/>
      <c r="E34" s="69"/>
      <c r="F34" s="50"/>
      <c r="G34" s="69"/>
      <c r="H34" s="50"/>
      <c r="I34" s="31"/>
    </row>
    <row r="35" spans="1:9" s="21" customFormat="1" ht="12.75" x14ac:dyDescent="0.2">
      <c r="A35" s="29">
        <v>35</v>
      </c>
      <c r="B35" s="73" t="s">
        <v>52</v>
      </c>
      <c r="C35" s="74">
        <v>-2029.8</v>
      </c>
      <c r="D35" s="50">
        <f t="shared" si="1"/>
        <v>0</v>
      </c>
      <c r="E35" s="74">
        <v>-2029.8</v>
      </c>
      <c r="F35" s="50">
        <f t="shared" si="1"/>
        <v>0</v>
      </c>
      <c r="G35" s="74">
        <v>-2029.8</v>
      </c>
      <c r="H35" s="50">
        <f t="shared" ref="H35:H41" si="2">(G35-I35)/I35</f>
        <v>0</v>
      </c>
      <c r="I35" s="75">
        <v>-2029.8</v>
      </c>
    </row>
    <row r="36" spans="1:9" s="52" customFormat="1" ht="12.75" x14ac:dyDescent="0.2">
      <c r="A36" s="39">
        <v>36</v>
      </c>
      <c r="B36" s="48" t="s">
        <v>53</v>
      </c>
      <c r="C36" s="70">
        <f>SUM(C33:C35)</f>
        <v>2763.6985403999997</v>
      </c>
      <c r="D36" s="50">
        <f t="shared" si="1"/>
        <v>0.26796807432989972</v>
      </c>
      <c r="E36" s="70">
        <f>SUM(E33:E35)</f>
        <v>2179.6278599999996</v>
      </c>
      <c r="F36" s="50">
        <f t="shared" si="1"/>
        <v>0.21776648078589544</v>
      </c>
      <c r="G36" s="70">
        <f>SUM(G33:G35)</f>
        <v>1789.8569999999993</v>
      </c>
      <c r="H36" s="50">
        <f t="shared" si="2"/>
        <v>0.34971495362340677</v>
      </c>
      <c r="I36" s="51">
        <f>SUM(I33:I35)</f>
        <v>1326.0999999999997</v>
      </c>
    </row>
    <row r="37" spans="1:9" s="52" customFormat="1" ht="12.75" x14ac:dyDescent="0.2">
      <c r="A37" s="39">
        <v>37</v>
      </c>
      <c r="B37" s="48" t="s">
        <v>54</v>
      </c>
      <c r="C37" s="70">
        <f>C29+C36</f>
        <v>7212.3985403999995</v>
      </c>
      <c r="D37" s="50">
        <f t="shared" si="1"/>
        <v>8.8117349162025335E-2</v>
      </c>
      <c r="E37" s="70">
        <f>E29+E36</f>
        <v>6628.3278599999994</v>
      </c>
      <c r="F37" s="50">
        <f t="shared" si="1"/>
        <v>6.247772682048118E-2</v>
      </c>
      <c r="G37" s="70">
        <f>G29+G36</f>
        <v>6238.5569999999989</v>
      </c>
      <c r="H37" s="50">
        <f t="shared" si="2"/>
        <v>8.0307023619865567E-2</v>
      </c>
      <c r="I37" s="51">
        <f>I29+I36</f>
        <v>5774.7999999999993</v>
      </c>
    </row>
    <row r="38" spans="1:9" x14ac:dyDescent="0.25">
      <c r="A38" s="29">
        <v>38</v>
      </c>
      <c r="B38" s="26" t="s">
        <v>55</v>
      </c>
      <c r="C38" s="69">
        <v>772.6</v>
      </c>
      <c r="D38" s="50">
        <f t="shared" si="1"/>
        <v>0</v>
      </c>
      <c r="E38" s="69">
        <v>772.6</v>
      </c>
      <c r="F38" s="50">
        <f t="shared" si="1"/>
        <v>0</v>
      </c>
      <c r="G38" s="69">
        <v>772.6</v>
      </c>
      <c r="H38" s="50">
        <f t="shared" si="2"/>
        <v>0</v>
      </c>
      <c r="I38" s="31">
        <v>772.6</v>
      </c>
    </row>
    <row r="39" spans="1:9" x14ac:dyDescent="0.25">
      <c r="A39" s="29">
        <v>39</v>
      </c>
      <c r="B39" s="26" t="s">
        <v>56</v>
      </c>
      <c r="C39" s="69">
        <v>54.4</v>
      </c>
      <c r="D39" s="50">
        <f t="shared" si="1"/>
        <v>0</v>
      </c>
      <c r="E39" s="69">
        <v>54.4</v>
      </c>
      <c r="F39" s="50">
        <f t="shared" si="1"/>
        <v>0</v>
      </c>
      <c r="G39" s="69">
        <v>54.4</v>
      </c>
      <c r="H39" s="50">
        <f t="shared" si="2"/>
        <v>0</v>
      </c>
      <c r="I39" s="31">
        <v>54.4</v>
      </c>
    </row>
    <row r="40" spans="1:9" x14ac:dyDescent="0.25">
      <c r="A40" s="29">
        <v>40</v>
      </c>
      <c r="B40" s="26" t="s">
        <v>57</v>
      </c>
      <c r="C40" s="69">
        <v>50.6</v>
      </c>
      <c r="D40" s="50">
        <f t="shared" si="1"/>
        <v>0</v>
      </c>
      <c r="E40" s="69">
        <v>50.6</v>
      </c>
      <c r="F40" s="50">
        <f t="shared" si="1"/>
        <v>0</v>
      </c>
      <c r="G40" s="69">
        <v>50.6</v>
      </c>
      <c r="H40" s="50">
        <f t="shared" si="2"/>
        <v>0</v>
      </c>
      <c r="I40" s="31">
        <v>50.6</v>
      </c>
    </row>
    <row r="41" spans="1:9" s="77" customFormat="1" ht="12.75" x14ac:dyDescent="0.2">
      <c r="A41" s="39">
        <v>41</v>
      </c>
      <c r="B41" s="40" t="s">
        <v>58</v>
      </c>
      <c r="C41" s="76">
        <f>C37-(C38+C39+C40)</f>
        <v>6334.7985403999992</v>
      </c>
      <c r="D41" s="50">
        <f t="shared" si="1"/>
        <v>0.10156465313940281</v>
      </c>
      <c r="E41" s="76">
        <f>E37-(E38+E39+E40)</f>
        <v>5750.7278599999991</v>
      </c>
      <c r="F41" s="50">
        <f t="shared" si="1"/>
        <v>7.2705462849263783E-2</v>
      </c>
      <c r="G41" s="76">
        <f>G37-(G38+G39+G40)</f>
        <v>5360.9569999999985</v>
      </c>
      <c r="H41" s="50">
        <f t="shared" si="2"/>
        <v>9.4698399085191481E-2</v>
      </c>
      <c r="I41" s="43">
        <f>I37-(I38+I39+I40)</f>
        <v>4897.1999999999989</v>
      </c>
    </row>
    <row r="42" spans="1:9" x14ac:dyDescent="0.25">
      <c r="A42" s="29">
        <v>42</v>
      </c>
      <c r="B42" s="26"/>
      <c r="C42" s="69"/>
      <c r="D42" s="50"/>
      <c r="E42" s="69"/>
      <c r="F42" s="50"/>
      <c r="G42" s="69"/>
      <c r="H42" s="50"/>
      <c r="I42" s="31"/>
    </row>
    <row r="43" spans="1:9" x14ac:dyDescent="0.25">
      <c r="A43" s="29">
        <v>43</v>
      </c>
      <c r="B43" s="26"/>
      <c r="C43" s="69"/>
      <c r="D43" s="50"/>
      <c r="E43" s="69"/>
      <c r="F43" s="50"/>
      <c r="G43" s="69"/>
      <c r="H43" s="50"/>
      <c r="I43" s="31"/>
    </row>
    <row r="44" spans="1:9" s="35" customFormat="1" ht="12.75" x14ac:dyDescent="0.2">
      <c r="A44" s="32">
        <v>44</v>
      </c>
      <c r="B44" s="33" t="s">
        <v>59</v>
      </c>
      <c r="C44" s="78"/>
      <c r="D44" s="50"/>
      <c r="E44" s="78"/>
      <c r="F44" s="50"/>
      <c r="G44" s="78"/>
      <c r="H44" s="50"/>
      <c r="I44" s="79"/>
    </row>
    <row r="45" spans="1:9" x14ac:dyDescent="0.25">
      <c r="A45" s="29">
        <v>45</v>
      </c>
      <c r="B45" s="26" t="s">
        <v>60</v>
      </c>
      <c r="C45" s="69">
        <v>717.7</v>
      </c>
      <c r="D45" s="50">
        <f t="shared" si="1"/>
        <v>0</v>
      </c>
      <c r="E45" s="69">
        <v>717.7</v>
      </c>
      <c r="F45" s="50">
        <f t="shared" si="1"/>
        <v>0</v>
      </c>
      <c r="G45" s="69">
        <v>717.7</v>
      </c>
      <c r="H45" s="50">
        <f t="shared" ref="H45:H51" si="3">(G45-I45)/I45</f>
        <v>0</v>
      </c>
      <c r="I45" s="31">
        <v>717.7</v>
      </c>
    </row>
    <row r="46" spans="1:9" x14ac:dyDescent="0.25">
      <c r="A46" s="29">
        <v>46</v>
      </c>
      <c r="B46" s="26" t="s">
        <v>61</v>
      </c>
      <c r="C46" s="69">
        <v>358.5</v>
      </c>
      <c r="D46" s="50">
        <f t="shared" si="1"/>
        <v>0</v>
      </c>
      <c r="E46" s="69">
        <v>358.5</v>
      </c>
      <c r="F46" s="50">
        <f t="shared" si="1"/>
        <v>0</v>
      </c>
      <c r="G46" s="69">
        <v>358.5</v>
      </c>
      <c r="H46" s="50">
        <f t="shared" si="3"/>
        <v>0</v>
      </c>
      <c r="I46" s="31">
        <v>358.5</v>
      </c>
    </row>
    <row r="47" spans="1:9" x14ac:dyDescent="0.25">
      <c r="A47" s="29">
        <v>47</v>
      </c>
      <c r="B47" s="26" t="s">
        <v>62</v>
      </c>
      <c r="C47" s="69">
        <v>531</v>
      </c>
      <c r="D47" s="50">
        <f t="shared" si="1"/>
        <v>0</v>
      </c>
      <c r="E47" s="69">
        <v>531</v>
      </c>
      <c r="F47" s="50">
        <f t="shared" si="1"/>
        <v>0</v>
      </c>
      <c r="G47" s="69">
        <v>531</v>
      </c>
      <c r="H47" s="50">
        <f t="shared" si="3"/>
        <v>0</v>
      </c>
      <c r="I47" s="31">
        <v>531</v>
      </c>
    </row>
    <row r="48" spans="1:9" x14ac:dyDescent="0.25">
      <c r="A48" s="29">
        <v>48</v>
      </c>
      <c r="B48" s="71" t="s">
        <v>63</v>
      </c>
      <c r="C48" s="72">
        <f>C23+E48</f>
        <v>4714.2985404000001</v>
      </c>
      <c r="D48" s="50">
        <f t="shared" si="1"/>
        <v>0.14141367018913095</v>
      </c>
      <c r="E48" s="72">
        <f>E23+G48</f>
        <v>4130.22786</v>
      </c>
      <c r="F48" s="50">
        <f t="shared" si="1"/>
        <v>0.10420407452886121</v>
      </c>
      <c r="G48" s="72">
        <f>G23+I48</f>
        <v>3740.4569999999994</v>
      </c>
      <c r="H48" s="50">
        <f t="shared" si="3"/>
        <v>0.14153172399060018</v>
      </c>
      <c r="I48" s="31">
        <v>3276.7</v>
      </c>
    </row>
    <row r="49" spans="1:9" s="52" customFormat="1" ht="12.75" x14ac:dyDescent="0.2">
      <c r="A49" s="39">
        <v>49</v>
      </c>
      <c r="B49" s="48" t="s">
        <v>64</v>
      </c>
      <c r="C49" s="70">
        <f>SUM(C45:C48)</f>
        <v>6321.4985403999999</v>
      </c>
      <c r="D49" s="50">
        <f t="shared" si="1"/>
        <v>0.10180009137404651</v>
      </c>
      <c r="E49" s="70">
        <f>SUM(E45:E48)</f>
        <v>5737.4278599999998</v>
      </c>
      <c r="F49" s="50">
        <f t="shared" si="1"/>
        <v>7.2886286461528962E-2</v>
      </c>
      <c r="G49" s="70">
        <f>SUM(G45:G48)</f>
        <v>5347.6569999999992</v>
      </c>
      <c r="H49" s="50">
        <f t="shared" si="3"/>
        <v>9.4956284936218938E-2</v>
      </c>
      <c r="I49" s="51">
        <f>SUM(I45:I48)</f>
        <v>4883.8999999999996</v>
      </c>
    </row>
    <row r="50" spans="1:9" x14ac:dyDescent="0.25">
      <c r="A50" s="29">
        <v>50</v>
      </c>
      <c r="B50" s="26" t="s">
        <v>65</v>
      </c>
      <c r="C50" s="69">
        <v>13.3</v>
      </c>
      <c r="D50" s="50">
        <f t="shared" si="1"/>
        <v>0</v>
      </c>
      <c r="E50" s="69">
        <v>13.3</v>
      </c>
      <c r="F50" s="50">
        <f t="shared" si="1"/>
        <v>0</v>
      </c>
      <c r="G50" s="69">
        <v>13.3</v>
      </c>
      <c r="H50" s="50">
        <f t="shared" si="3"/>
        <v>0</v>
      </c>
      <c r="I50" s="31">
        <v>13.3</v>
      </c>
    </row>
    <row r="51" spans="1:9" s="77" customFormat="1" ht="12.75" x14ac:dyDescent="0.2">
      <c r="A51" s="39">
        <v>51</v>
      </c>
      <c r="B51" s="40" t="s">
        <v>66</v>
      </c>
      <c r="C51" s="76">
        <f>SUM(C49:C50)</f>
        <v>6334.7985404000001</v>
      </c>
      <c r="D51" s="50">
        <f t="shared" si="1"/>
        <v>0.1015646531394028</v>
      </c>
      <c r="E51" s="76">
        <f>SUM(E49:E50)</f>
        <v>5750.72786</v>
      </c>
      <c r="F51" s="50">
        <f t="shared" si="1"/>
        <v>7.2705462849263769E-2</v>
      </c>
      <c r="G51" s="76">
        <f>SUM(G49:G50)</f>
        <v>5360.9569999999994</v>
      </c>
      <c r="H51" s="50">
        <f t="shared" si="3"/>
        <v>9.4698399085191468E-2</v>
      </c>
      <c r="I51" s="43">
        <f>SUM(I49:I50)</f>
        <v>4897.2</v>
      </c>
    </row>
    <row r="52" spans="1:9" x14ac:dyDescent="0.25">
      <c r="A52" s="29">
        <v>52</v>
      </c>
      <c r="B52" s="26"/>
      <c r="C52" s="26"/>
      <c r="D52" s="26" t="s">
        <v>27</v>
      </c>
      <c r="E52" s="26"/>
      <c r="F52" s="26" t="s">
        <v>27</v>
      </c>
      <c r="G52" s="26"/>
      <c r="H52" s="26" t="s">
        <v>27</v>
      </c>
      <c r="I52" s="31"/>
    </row>
    <row r="53" spans="1:9" x14ac:dyDescent="0.25">
      <c r="A53" s="80"/>
    </row>
    <row r="54" spans="1:9" x14ac:dyDescent="0.25">
      <c r="B54" s="83" t="s">
        <v>70</v>
      </c>
    </row>
    <row r="55" spans="1:9" x14ac:dyDescent="0.25">
      <c r="D55" s="19">
        <v>2016</v>
      </c>
      <c r="E55" s="19">
        <v>2017</v>
      </c>
      <c r="F55" s="19">
        <v>2018</v>
      </c>
      <c r="G55" s="19">
        <v>2019</v>
      </c>
    </row>
    <row r="56" spans="1:9" x14ac:dyDescent="0.25">
      <c r="B56" s="35" t="s">
        <v>67</v>
      </c>
      <c r="C56" s="81"/>
      <c r="D56" s="81">
        <f xml:space="preserve"> I12/I10</f>
        <v>7.3017996108949421E-2</v>
      </c>
      <c r="E56" s="81">
        <f xml:space="preserve"> G12/G10</f>
        <v>7.3017996108949337E-2</v>
      </c>
      <c r="F56" s="81">
        <f xml:space="preserve"> E12/E10</f>
        <v>9.0844573106854259E-2</v>
      </c>
      <c r="G56" s="81">
        <f xml:space="preserve"> C12/C10</f>
        <v>0.11682044244665842</v>
      </c>
    </row>
    <row r="57" spans="1:9" x14ac:dyDescent="0.25">
      <c r="B57" s="35" t="s">
        <v>68</v>
      </c>
      <c r="C57" s="81"/>
      <c r="D57" s="81">
        <f>I17/(I51-I38)</f>
        <v>0.13240071764534744</v>
      </c>
      <c r="E57" s="81">
        <f>G17/(G51-G38)</f>
        <v>0.14438937510747299</v>
      </c>
      <c r="F57" s="81">
        <f>E17/(E51-E38)</f>
        <v>0.16924631582283231</v>
      </c>
      <c r="G57" s="81">
        <f>C17/(C51-C38)</f>
        <v>0.2013773805203741</v>
      </c>
    </row>
  </sheetData>
  <pageMargins left="0.75" right="0.75" top="1" bottom="1" header="0.5" footer="0.5"/>
  <pageSetup paperSize="9" orientation="portrait" horizontalDpi="4294967293" verticalDpi="1200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33"/>
  <sheetViews>
    <sheetView tabSelected="1" zoomScale="140" zoomScaleNormal="140" workbookViewId="0">
      <selection activeCell="C17" sqref="C17"/>
    </sheetView>
  </sheetViews>
  <sheetFormatPr defaultRowHeight="15" x14ac:dyDescent="0.25"/>
  <cols>
    <col min="1" max="1" width="35" customWidth="1"/>
    <col min="2" max="2" width="13" customWidth="1"/>
    <col min="3" max="3" width="10.42578125" bestFit="1" customWidth="1"/>
    <col min="4" max="5" width="9.28515625" bestFit="1" customWidth="1"/>
  </cols>
  <sheetData>
    <row r="2" spans="1:7" x14ac:dyDescent="0.25">
      <c r="A2" t="s">
        <v>14</v>
      </c>
    </row>
    <row r="3" spans="1:7" x14ac:dyDescent="0.25">
      <c r="A3" s="1" t="s">
        <v>9</v>
      </c>
    </row>
    <row r="4" spans="1:7" ht="30" x14ac:dyDescent="0.25">
      <c r="B4" s="8" t="s">
        <v>15</v>
      </c>
      <c r="C4" s="84" t="s">
        <v>69</v>
      </c>
      <c r="D4" s="84"/>
      <c r="E4" s="84"/>
      <c r="F4" s="82"/>
      <c r="G4" s="82"/>
    </row>
    <row r="5" spans="1:7" x14ac:dyDescent="0.25">
      <c r="B5" s="1" t="s">
        <v>0</v>
      </c>
      <c r="C5" s="1" t="s">
        <v>1</v>
      </c>
      <c r="D5" s="1" t="s">
        <v>2</v>
      </c>
      <c r="E5" s="1" t="s">
        <v>3</v>
      </c>
      <c r="F5" s="1"/>
      <c r="G5" s="1"/>
    </row>
    <row r="7" spans="1:7" x14ac:dyDescent="0.25">
      <c r="A7" s="1" t="s">
        <v>4</v>
      </c>
      <c r="B7" s="1">
        <v>200</v>
      </c>
      <c r="C7" s="11">
        <f>-('Model 3 years'!G11-'Model 3 years'!I11)</f>
        <v>152.47000000000025</v>
      </c>
      <c r="D7" s="11">
        <f>-('Model 3 years'!E11-'Model 3 years'!G11)</f>
        <v>155.51940000000013</v>
      </c>
      <c r="E7" s="11">
        <f>-('Model 3 years'!C11-'Model 3 years'!E11)</f>
        <v>158.62978800000019</v>
      </c>
      <c r="F7" s="9"/>
      <c r="G7" s="9"/>
    </row>
    <row r="8" spans="1:7" x14ac:dyDescent="0.25">
      <c r="A8" s="2" t="s">
        <v>7</v>
      </c>
      <c r="B8" s="2">
        <f>B7</f>
        <v>200</v>
      </c>
      <c r="C8" s="12">
        <f>B8+C7</f>
        <v>352.47000000000025</v>
      </c>
      <c r="D8" s="12">
        <f>C8+D7</f>
        <v>507.98940000000039</v>
      </c>
      <c r="E8" s="12">
        <f>D8+E7</f>
        <v>666.61918800000058</v>
      </c>
      <c r="F8" s="2"/>
      <c r="G8" s="2"/>
    </row>
    <row r="9" spans="1:7" x14ac:dyDescent="0.25">
      <c r="A9" s="1" t="s">
        <v>5</v>
      </c>
      <c r="B9" s="1">
        <v>0</v>
      </c>
      <c r="C9" s="6">
        <f>'Model 3 years'!G10-'Model 3 years'!I10</f>
        <v>164.47999999999956</v>
      </c>
      <c r="D9" s="6">
        <f>'Model 3 years'!E10-'Model 3 years'!G10</f>
        <v>335.53920000000107</v>
      </c>
      <c r="E9" s="6">
        <f>'Model 3 years'!C10-'Model 3 years'!E10</f>
        <v>436.20096000000012</v>
      </c>
      <c r="F9" s="1"/>
      <c r="G9" s="1"/>
    </row>
    <row r="10" spans="1:7" x14ac:dyDescent="0.25">
      <c r="A10" s="2" t="s">
        <v>8</v>
      </c>
      <c r="B10" s="2">
        <v>0</v>
      </c>
      <c r="C10" s="12">
        <f>B10+C9</f>
        <v>164.47999999999956</v>
      </c>
      <c r="D10" s="12">
        <f>C10+D9</f>
        <v>500.01920000000064</v>
      </c>
      <c r="E10" s="12">
        <f>D10+E9</f>
        <v>936.22016000000076</v>
      </c>
      <c r="F10" s="2"/>
      <c r="G10" s="2"/>
    </row>
    <row r="11" spans="1:7" x14ac:dyDescent="0.25">
      <c r="A11" s="1" t="s">
        <v>12</v>
      </c>
      <c r="B11" s="1">
        <f>B9-B7</f>
        <v>-200</v>
      </c>
      <c r="C11" s="6">
        <f>C9-C7</f>
        <v>12.009999999999309</v>
      </c>
      <c r="D11" s="6">
        <f>D9-D7</f>
        <v>180.01980000000094</v>
      </c>
      <c r="E11" s="6">
        <f>E9-E7</f>
        <v>277.57117199999993</v>
      </c>
      <c r="F11" s="1"/>
      <c r="G11" s="1"/>
    </row>
    <row r="12" spans="1:7" x14ac:dyDescent="0.25">
      <c r="A12" s="1" t="s">
        <v>11</v>
      </c>
      <c r="B12" s="1">
        <f>B11</f>
        <v>-200</v>
      </c>
      <c r="C12" s="6">
        <f>B12+C11</f>
        <v>-187.99000000000069</v>
      </c>
      <c r="D12" s="6">
        <f>C12+D11</f>
        <v>-7.9701999999997497</v>
      </c>
      <c r="E12" s="11">
        <f>D12+E11</f>
        <v>269.60097200000018</v>
      </c>
      <c r="F12" s="1"/>
      <c r="G12" s="1"/>
    </row>
    <row r="13" spans="1:7" x14ac:dyDescent="0.25">
      <c r="A13" t="s">
        <v>16</v>
      </c>
      <c r="B13" s="10">
        <v>1</v>
      </c>
      <c r="C13" s="10">
        <v>0.95199999999999996</v>
      </c>
      <c r="D13" s="10">
        <v>0.90700000000000003</v>
      </c>
      <c r="E13" s="10">
        <v>0.86399999999999999</v>
      </c>
    </row>
    <row r="14" spans="1:7" x14ac:dyDescent="0.25">
      <c r="A14" t="s">
        <v>13</v>
      </c>
      <c r="B14" s="1">
        <f>B11*B13</f>
        <v>-200</v>
      </c>
      <c r="C14" s="6">
        <f t="shared" ref="C14:E14" si="0">C11*C13</f>
        <v>11.433519999999341</v>
      </c>
      <c r="D14" s="6">
        <f t="shared" si="0"/>
        <v>163.27795860000086</v>
      </c>
      <c r="E14" s="6">
        <f t="shared" si="0"/>
        <v>239.82149260799994</v>
      </c>
      <c r="F14" s="1"/>
      <c r="G14" s="1"/>
    </row>
    <row r="15" spans="1:7" x14ac:dyDescent="0.25">
      <c r="A15" s="1" t="s">
        <v>6</v>
      </c>
      <c r="B15" s="13">
        <f>SUM(B14:G14)</f>
        <v>214.53297120800013</v>
      </c>
    </row>
    <row r="16" spans="1:7" x14ac:dyDescent="0.25">
      <c r="A16" s="1" t="s">
        <v>17</v>
      </c>
      <c r="C16" s="5">
        <f>C14/B7</f>
        <v>5.7167599999996703E-2</v>
      </c>
      <c r="D16" s="5">
        <f>D14/B7</f>
        <v>0.81638979300000425</v>
      </c>
      <c r="E16" s="5">
        <f>E14/B7</f>
        <v>1.1991074630399998</v>
      </c>
      <c r="F16" s="14">
        <f>(C14+D14+E14)/B7</f>
        <v>2.0726648560400007</v>
      </c>
    </row>
    <row r="33" spans="1:2" x14ac:dyDescent="0.25">
      <c r="A33" s="3"/>
      <c r="B33" s="4"/>
    </row>
  </sheetData>
  <mergeCells count="1">
    <mergeCell ref="C4:E4"/>
  </mergeCells>
  <pageMargins left="0.7" right="0.7" top="0.75" bottom="0.75" header="0.3" footer="0.3"/>
  <pageSetup orientation="portrait" r:id="rId1"/>
  <ignoredErrors>
    <ignoredError sqref="C11:E11 C9:E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7"/>
  <sheetViews>
    <sheetView topLeftCell="A13" zoomScaleNormal="100" workbookViewId="0">
      <selection activeCell="I33" sqref="I33"/>
    </sheetView>
  </sheetViews>
  <sheetFormatPr defaultRowHeight="15" x14ac:dyDescent="0.25"/>
  <sheetData>
    <row r="3" spans="1:1" ht="21" x14ac:dyDescent="0.35">
      <c r="A3" s="7"/>
    </row>
    <row r="17" spans="1:1" ht="21" x14ac:dyDescent="0.35">
      <c r="A17" s="7" t="s">
        <v>10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3 years</vt:lpstr>
      <vt:lpstr>CBA</vt:lpstr>
      <vt:lpstr>CBA 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Samuel</dc:creator>
  <cp:lastModifiedBy>Andre Samuel</cp:lastModifiedBy>
  <dcterms:created xsi:type="dcterms:W3CDTF">2014-06-02T17:33:48Z</dcterms:created>
  <dcterms:modified xsi:type="dcterms:W3CDTF">2018-06-30T15:32:45Z</dcterms:modified>
</cp:coreProperties>
</file>